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5\"/>
    </mc:Choice>
  </mc:AlternateContent>
  <bookViews>
    <workbookView xWindow="0" yWindow="0" windowWidth="19305" windowHeight="8085"/>
  </bookViews>
  <sheets>
    <sheet name="CT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4" i="1" l="1"/>
  <c r="X24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F12" i="1"/>
  <c r="F11" i="1"/>
  <c r="F3" i="1"/>
  <c r="F4" i="1"/>
  <c r="F5" i="1"/>
  <c r="F6" i="1"/>
  <c r="F7" i="1"/>
  <c r="F8" i="1"/>
  <c r="F9" i="1"/>
  <c r="F10" i="1"/>
  <c r="F13" i="1"/>
  <c r="F14" i="1"/>
  <c r="H14" i="1" s="1"/>
  <c r="F15" i="1"/>
  <c r="F16" i="1"/>
  <c r="F17" i="1"/>
  <c r="F2" i="1"/>
  <c r="H2" i="1" s="1"/>
  <c r="H8" i="1" l="1"/>
  <c r="H4" i="1"/>
  <c r="H11" i="1"/>
  <c r="H13" i="1"/>
  <c r="H7" i="1"/>
  <c r="H3" i="1"/>
  <c r="H10" i="1"/>
  <c r="H16" i="1"/>
  <c r="H15" i="1"/>
  <c r="H6" i="1"/>
  <c r="H5" i="1"/>
  <c r="H12" i="1"/>
  <c r="H17" i="1"/>
  <c r="H9" i="1"/>
  <c r="AA16" i="1" l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E9" i="1"/>
  <c r="AB5" i="1" l="1"/>
  <c r="AB9" i="1"/>
  <c r="AB13" i="1"/>
  <c r="AB2" i="1"/>
  <c r="AB6" i="1"/>
  <c r="AB10" i="1"/>
  <c r="AB14" i="1"/>
  <c r="AB3" i="1"/>
  <c r="AB7" i="1"/>
  <c r="AB11" i="1"/>
  <c r="AB15" i="1"/>
  <c r="AB4" i="1"/>
  <c r="AB8" i="1"/>
  <c r="AB12" i="1"/>
  <c r="AB1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AE3" i="1" l="1"/>
  <c r="K9" i="1" s="1"/>
  <c r="L9" i="1" s="1"/>
  <c r="K10" i="1" l="1"/>
  <c r="L10" i="1" s="1"/>
  <c r="K15" i="1"/>
  <c r="K5" i="1"/>
  <c r="L5" i="1" s="1"/>
  <c r="K14" i="1"/>
  <c r="L14" i="1" s="1"/>
  <c r="K4" i="1"/>
  <c r="L4" i="1" s="1"/>
  <c r="K13" i="1"/>
  <c r="K7" i="1"/>
  <c r="K8" i="1"/>
  <c r="L8" i="1" s="1"/>
  <c r="K6" i="1"/>
  <c r="L6" i="1" s="1"/>
  <c r="K11" i="1"/>
  <c r="L11" i="1" s="1"/>
  <c r="K12" i="1"/>
  <c r="M6" i="1"/>
  <c r="N6" i="1" s="1"/>
  <c r="M4" i="1"/>
  <c r="N4" i="1" s="1"/>
  <c r="M5" i="1"/>
  <c r="N5" i="1" s="1"/>
  <c r="M9" i="1"/>
  <c r="N9" i="1" s="1"/>
  <c r="K17" i="1"/>
  <c r="L17" i="1" s="1"/>
  <c r="K3" i="1"/>
  <c r="L3" i="1" s="1"/>
  <c r="K2" i="1"/>
  <c r="L2" i="1" s="1"/>
  <c r="K16" i="1"/>
  <c r="L16" i="1" s="1"/>
  <c r="M10" i="1" l="1"/>
  <c r="N10" i="1" s="1"/>
  <c r="M11" i="1"/>
  <c r="N11" i="1" s="1"/>
  <c r="M12" i="1"/>
  <c r="X12" i="1" s="1"/>
  <c r="AC12" i="1" s="1"/>
  <c r="L12" i="1"/>
  <c r="M7" i="1"/>
  <c r="L7" i="1"/>
  <c r="Y4" i="1"/>
  <c r="Z4" i="1" s="1"/>
  <c r="M13" i="1"/>
  <c r="L13" i="1"/>
  <c r="M15" i="1"/>
  <c r="O15" i="1" s="1"/>
  <c r="L15" i="1"/>
  <c r="M14" i="1"/>
  <c r="N14" i="1" s="1"/>
  <c r="M8" i="1"/>
  <c r="X8" i="1" s="1"/>
  <c r="AC8" i="1" s="1"/>
  <c r="M16" i="1"/>
  <c r="N16" i="1" s="1"/>
  <c r="X9" i="1"/>
  <c r="AC9" i="1" s="1"/>
  <c r="O9" i="1"/>
  <c r="P9" i="1" s="1"/>
  <c r="Q9" i="1"/>
  <c r="T9" i="1"/>
  <c r="U9" i="1" s="1"/>
  <c r="T6" i="1"/>
  <c r="U6" i="1" s="1"/>
  <c r="X6" i="1"/>
  <c r="AC6" i="1" s="1"/>
  <c r="O6" i="1"/>
  <c r="P6" i="1" s="1"/>
  <c r="X4" i="1"/>
  <c r="AC4" i="1" s="1"/>
  <c r="O4" i="1"/>
  <c r="P4" i="1" s="1"/>
  <c r="T4" i="1"/>
  <c r="U4" i="1" s="1"/>
  <c r="T14" i="1"/>
  <c r="U14" i="1" s="1"/>
  <c r="X14" i="1"/>
  <c r="O14" i="1"/>
  <c r="Q14" i="1"/>
  <c r="X5" i="1"/>
  <c r="AC5" i="1" s="1"/>
  <c r="O5" i="1"/>
  <c r="P5" i="1" s="1"/>
  <c r="T5" i="1"/>
  <c r="U5" i="1" s="1"/>
  <c r="M2" i="1"/>
  <c r="N2" i="1" s="1"/>
  <c r="X13" i="1"/>
  <c r="AC13" i="1" s="1"/>
  <c r="T13" i="1"/>
  <c r="O7" i="1"/>
  <c r="Q7" i="1" s="1"/>
  <c r="M3" i="1"/>
  <c r="N3" i="1" s="1"/>
  <c r="T11" i="1"/>
  <c r="U11" i="1" s="1"/>
  <c r="X11" i="1"/>
  <c r="AC11" i="1" s="1"/>
  <c r="O11" i="1"/>
  <c r="M17" i="1"/>
  <c r="N17" i="1" s="1"/>
  <c r="T10" i="1"/>
  <c r="U10" i="1" s="1"/>
  <c r="X10" i="1"/>
  <c r="AC10" i="1" s="1"/>
  <c r="O10" i="1"/>
  <c r="P10" i="1" s="1"/>
  <c r="T15" i="1"/>
  <c r="X15" i="1"/>
  <c r="AC15" i="1" s="1"/>
  <c r="T12" i="1" l="1"/>
  <c r="Y10" i="1"/>
  <c r="Z10" i="1" s="1"/>
  <c r="O12" i="1"/>
  <c r="Y6" i="1"/>
  <c r="Z6" i="1" s="1"/>
  <c r="Y5" i="1"/>
  <c r="Z5" i="1" s="1"/>
  <c r="Q11" i="1"/>
  <c r="P11" i="1"/>
  <c r="Y9" i="1"/>
  <c r="Z9" i="1" s="1"/>
  <c r="N13" i="1"/>
  <c r="Y13" i="1" s="1"/>
  <c r="Z13" i="1" s="1"/>
  <c r="N7" i="1"/>
  <c r="P12" i="1"/>
  <c r="X7" i="1"/>
  <c r="AC7" i="1" s="1"/>
  <c r="O8" i="1"/>
  <c r="Q8" i="1" s="1"/>
  <c r="N8" i="1"/>
  <c r="Y8" i="1" s="1"/>
  <c r="Z8" i="1" s="1"/>
  <c r="Q15" i="1"/>
  <c r="T7" i="1"/>
  <c r="O13" i="1"/>
  <c r="P13" i="1" s="1"/>
  <c r="AC14" i="1"/>
  <c r="Y14" i="1"/>
  <c r="Z14" i="1" s="1"/>
  <c r="T8" i="1"/>
  <c r="U8" i="1" s="1"/>
  <c r="P14" i="1"/>
  <c r="N15" i="1"/>
  <c r="Y15" i="1" s="1"/>
  <c r="Z15" i="1" s="1"/>
  <c r="Y11" i="1"/>
  <c r="Z11" i="1" s="1"/>
  <c r="N12" i="1"/>
  <c r="Y12" i="1" s="1"/>
  <c r="Z12" i="1" s="1"/>
  <c r="X16" i="1"/>
  <c r="AC16" i="1" s="1"/>
  <c r="O16" i="1"/>
  <c r="P16" i="1" s="1"/>
  <c r="Q16" i="1"/>
  <c r="T16" i="1"/>
  <c r="U16" i="1" s="1"/>
  <c r="Q10" i="1"/>
  <c r="X17" i="1"/>
  <c r="O17" i="1"/>
  <c r="Q17" i="1" s="1"/>
  <c r="T3" i="1"/>
  <c r="U3" i="1" s="1"/>
  <c r="X3" i="1"/>
  <c r="AC3" i="1" s="1"/>
  <c r="O3" i="1"/>
  <c r="P3" i="1" s="1"/>
  <c r="X2" i="1"/>
  <c r="Y2" i="1" s="1"/>
  <c r="Z2" i="1" s="1"/>
  <c r="O2" i="1"/>
  <c r="P2" i="1" s="1"/>
  <c r="T2" i="1"/>
  <c r="U2" i="1" s="1"/>
  <c r="W2" i="1" s="1"/>
  <c r="Q12" i="1"/>
  <c r="Q5" i="1"/>
  <c r="Q4" i="1"/>
  <c r="Q6" i="1"/>
  <c r="U12" i="1" l="1"/>
  <c r="U13" i="1"/>
  <c r="W13" i="1" s="1"/>
  <c r="Y7" i="1"/>
  <c r="Z7" i="1" s="1"/>
  <c r="P17" i="1"/>
  <c r="P15" i="1"/>
  <c r="W6" i="1"/>
  <c r="Y16" i="1"/>
  <c r="Z16" i="1" s="1"/>
  <c r="Y3" i="1"/>
  <c r="Z3" i="1" s="1"/>
  <c r="W3" i="1"/>
  <c r="W5" i="1"/>
  <c r="P7" i="1"/>
  <c r="U15" i="1"/>
  <c r="W15" i="1" s="1"/>
  <c r="U7" i="1"/>
  <c r="W8" i="1" s="1"/>
  <c r="Q13" i="1"/>
  <c r="W4" i="1"/>
  <c r="P8" i="1"/>
  <c r="AC2" i="1"/>
  <c r="AC23" i="1" s="1"/>
  <c r="V2" i="1"/>
  <c r="V14" i="1"/>
  <c r="V13" i="1"/>
  <c r="V7" i="1"/>
  <c r="V8" i="1"/>
  <c r="V6" i="1"/>
  <c r="V12" i="1"/>
  <c r="V11" i="1"/>
  <c r="V5" i="1"/>
  <c r="V10" i="1"/>
  <c r="V15" i="1"/>
  <c r="V16" i="1"/>
  <c r="V9" i="1"/>
  <c r="V3" i="1"/>
  <c r="V4" i="1"/>
  <c r="Q2" i="1"/>
  <c r="Q3" i="1"/>
  <c r="W14" i="1" l="1"/>
  <c r="W11" i="1"/>
  <c r="W16" i="1"/>
  <c r="W7" i="1"/>
  <c r="W9" i="1"/>
  <c r="W10" i="1"/>
  <c r="W12" i="1"/>
</calcChain>
</file>

<file path=xl/sharedStrings.xml><?xml version="1.0" encoding="utf-8"?>
<sst xmlns="http://schemas.openxmlformats.org/spreadsheetml/2006/main" count="50" uniqueCount="50">
  <si>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</si>
  <si>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</si>
  <si>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</si>
  <si>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</si>
  <si>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</si>
  <si>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</si>
  <si>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</si>
  <si>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</si>
  <si>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</si>
  <si>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Blk</t>
  </si>
  <si>
    <t>Weight of eluate (g)</t>
  </si>
  <si>
    <t>Weight Corrected Sr-90 Activity (DPM)</t>
  </si>
  <si>
    <t>Cumulative Activity (DPM)</t>
  </si>
  <si>
    <t>CT25 1 mL</t>
  </si>
  <si>
    <t>CT25 2 mL</t>
  </si>
  <si>
    <t>CT25 3 mL</t>
  </si>
  <si>
    <t>CT25 4 mL</t>
  </si>
  <si>
    <t>CT25 5 mL</t>
  </si>
  <si>
    <t>CT25 6 mL</t>
  </si>
  <si>
    <t>CT25 7 mL</t>
  </si>
  <si>
    <t>CT25 8 mL</t>
  </si>
  <si>
    <t>CT25 9 mL</t>
  </si>
  <si>
    <t>CT25 10 mL</t>
  </si>
  <si>
    <t>CT25 11 mL</t>
  </si>
  <si>
    <t>CT25 12 mL</t>
  </si>
  <si>
    <t>CT25 13 mL</t>
  </si>
  <si>
    <t>CT25 14 mL</t>
  </si>
  <si>
    <t>CT25 15 mL</t>
  </si>
  <si>
    <t>1 ml/min</t>
  </si>
  <si>
    <t>Decay constant of sr-90=</t>
  </si>
  <si>
    <t>Time from 19.07.2018</t>
  </si>
  <si>
    <t>DC factor</t>
  </si>
  <si>
    <t>DC to 19.07.2018</t>
  </si>
  <si>
    <t>Measured counts (cpm)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</si>
  <si>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</si>
  <si>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</si>
  <si>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(cpm)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</si>
  <si>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</si>
  <si>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</si>
  <si>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</si>
  <si>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</si>
  <si>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</si>
  <si>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</si>
  <si>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</si>
  <si>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</si>
  <si>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</si>
  <si>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</si>
  <si>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</si>
  <si>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σ</t>
  </si>
  <si>
    <t>Sr-90 recovery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</si>
</sst>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0" borderId="0" xfId="0" applyFill="1" applyBorder="1"/>
    <xf numFmtId="0" fontId="0" fillId="2" borderId="0" xfId="0" applyFill="1"/>
    <xf numFmtId="0" fontId="0" fillId="0" borderId="2" xfId="0" applyBorder="1"/>
    <xf numFmtId="0" fontId="0" fillId="3" borderId="2" xfId="0" applyFill="1" applyBorder="1"/>
    <xf numFmtId="0" fontId="0" fillId="3" borderId="3" xfId="0" applyFill="1" applyBorder="1"/>
    <xf numFmtId="0" fontId="0" fillId="3" borderId="0" xfId="0" applyFill="1"/>
    <xf numFmtId="0" fontId="0" fillId="3" borderId="1" xfId="0" applyFill="1" applyBorder="1"/>
    <xf numFmtId="0" fontId="0" fillId="0" borderId="1" xfId="0" applyBorder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6" fontId="0" fillId="3" borderId="1" xfId="0" applyNumberFormat="1" applyFill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166" fontId="0" fillId="3" borderId="3" xfId="0" applyNumberFormat="1" applyFill="1" applyBorder="1"/>
    <xf numFmtId="165" fontId="0" fillId="0" borderId="3" xfId="0" applyNumberFormat="1" applyBorder="1"/>
    <xf numFmtId="0" fontId="0" fillId="0" borderId="2" xfId="0" applyFill="1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topLeftCell="L1" zoomScale="70" zoomScaleNormal="70" workbookViewId="0">
      <selection activeCell="V31" sqref="V31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28515625" bestFit="1" customWidth="1"/>
    <col min="4" max="4" width="22.140625" bestFit="1" customWidth="1"/>
    <col min="5" max="5" width="20" style="7" bestFit="1" customWidth="1"/>
    <col min="6" max="6" width="18" style="7" bestFit="1" customWidth="1"/>
    <col min="7" max="7" width="31.5703125" bestFit="1" customWidth="1"/>
    <col min="8" max="8" width="31.5703125" style="7" customWidth="1"/>
    <col min="9" max="9" width="17.7109375" bestFit="1" customWidth="1"/>
    <col min="10" max="10" width="19.28515625" style="7" bestFit="1" customWidth="1"/>
    <col min="11" max="11" width="17.7109375" customWidth="1"/>
    <col min="12" max="12" width="17.7109375" style="7" customWidth="1"/>
    <col min="13" max="13" width="12.140625" bestFit="1" customWidth="1"/>
    <col min="14" max="14" width="13.85546875" style="7" bestFit="1" customWidth="1"/>
    <col min="15" max="15" width="12.140625" bestFit="1" customWidth="1"/>
    <col min="16" max="16" width="13.140625" style="7" bestFit="1" customWidth="1"/>
    <col min="17" max="17" width="12" bestFit="1" customWidth="1"/>
    <col min="18" max="18" width="19" bestFit="1" customWidth="1"/>
    <col min="19" max="19" width="20.42578125" style="7" bestFit="1" customWidth="1"/>
    <col min="20" max="20" width="35.42578125" bestFit="1" customWidth="1"/>
    <col min="21" max="21" width="37" style="7" bestFit="1" customWidth="1"/>
    <col min="22" max="22" width="24.7109375" bestFit="1" customWidth="1"/>
    <col min="23" max="23" width="26.42578125" style="7" bestFit="1" customWidth="1"/>
    <col min="24" max="24" width="12.7109375" bestFit="1" customWidth="1"/>
    <col min="25" max="25" width="13.5703125" style="7" bestFit="1" customWidth="1"/>
    <col min="26" max="26" width="16" style="7" bestFit="1" customWidth="1"/>
    <col min="27" max="27" width="20" bestFit="1" customWidth="1"/>
    <col min="28" max="28" width="13" bestFit="1" customWidth="1"/>
    <col min="29" max="29" width="15.42578125" bestFit="1" customWidth="1"/>
    <col min="30" max="30" width="24.7109375" customWidth="1"/>
    <col min="31" max="31" width="22.140625" bestFit="1" customWidth="1"/>
  </cols>
  <sheetData>
    <row r="1" spans="1:31" ht="15.75" thickBot="1" x14ac:dyDescent="0.3">
      <c r="A1" s="26" t="s">
        <v>2</v>
      </c>
      <c r="B1" s="23" t="s">
        <v>4</v>
      </c>
      <c r="C1" s="4" t="s">
        <v>3</v>
      </c>
      <c r="D1" s="4" t="s">
        <v>33</v>
      </c>
      <c r="E1" s="5" t="s">
        <v>34</v>
      </c>
      <c r="F1" s="5" t="s">
        <v>35</v>
      </c>
      <c r="G1" s="4" t="s">
        <v>36</v>
      </c>
      <c r="H1" s="5" t="s">
        <v>37</v>
      </c>
      <c r="I1" s="4" t="s">
        <v>0</v>
      </c>
      <c r="J1" s="5" t="s">
        <v>38</v>
      </c>
      <c r="K1" s="4" t="s">
        <v>5</v>
      </c>
      <c r="L1" s="5" t="s">
        <v>39</v>
      </c>
      <c r="M1" s="4" t="s">
        <v>6</v>
      </c>
      <c r="N1" s="5" t="s">
        <v>40</v>
      </c>
      <c r="O1" s="4" t="s">
        <v>7</v>
      </c>
      <c r="P1" s="5" t="s">
        <v>41</v>
      </c>
      <c r="Q1" s="4" t="s">
        <v>8</v>
      </c>
      <c r="R1" s="4" t="s">
        <v>10</v>
      </c>
      <c r="S1" s="5" t="s">
        <v>42</v>
      </c>
      <c r="T1" s="21" t="s">
        <v>11</v>
      </c>
      <c r="U1" s="5" t="s">
        <v>43</v>
      </c>
      <c r="V1" s="21" t="s">
        <v>12</v>
      </c>
      <c r="W1" s="5" t="s">
        <v>44</v>
      </c>
      <c r="X1" s="4" t="s">
        <v>45</v>
      </c>
      <c r="Y1" s="5" t="s">
        <v>46</v>
      </c>
      <c r="Z1" s="5" t="s">
        <v>47</v>
      </c>
      <c r="AA1" s="4" t="s">
        <v>30</v>
      </c>
      <c r="AB1" s="4" t="s">
        <v>31</v>
      </c>
      <c r="AC1" s="22" t="s">
        <v>32</v>
      </c>
      <c r="AD1" s="2"/>
    </row>
    <row r="2" spans="1:31" x14ac:dyDescent="0.25">
      <c r="A2" s="27" t="s">
        <v>13</v>
      </c>
      <c r="B2" s="24">
        <v>43327.447916666664</v>
      </c>
      <c r="C2" s="16">
        <v>43330.590277777781</v>
      </c>
      <c r="D2" s="17">
        <v>7.74</v>
      </c>
      <c r="E2" s="6">
        <v>6.64</v>
      </c>
      <c r="F2" s="6">
        <f>D2*(E2/100)</f>
        <v>0.51393600000000006</v>
      </c>
      <c r="G2" s="15">
        <f>D2-$D$17</f>
        <v>0.10000000000000053</v>
      </c>
      <c r="H2" s="6">
        <f>SQRT((F2^2)+(F$17^2))</f>
        <v>0.72428542440118182</v>
      </c>
      <c r="I2" s="18">
        <f>(C2-B2)*24</f>
        <v>75.416666666802485</v>
      </c>
      <c r="J2" s="19">
        <f>1/60</f>
        <v>1.6666666666666666E-2</v>
      </c>
      <c r="K2" s="15">
        <f t="shared" ref="K2:K17" si="0">1-EXP(-$AE$3*I2)</f>
        <v>0.57317531322046311</v>
      </c>
      <c r="L2" s="6">
        <f>K2*SQRT(((J2/I2)^2))</f>
        <v>1.2666857750705655E-4</v>
      </c>
      <c r="M2" s="15">
        <f t="shared" ref="M2:M17" si="1">G2/((1+K2))</f>
        <v>6.3565706351753973E-2</v>
      </c>
      <c r="N2" s="6">
        <f>M2*SQRT(((H2/G2)^2)+((L2/K2)^2))</f>
        <v>0.46039714623771955</v>
      </c>
      <c r="O2" s="15">
        <f t="shared" ref="O2:O17" si="2">M2*K2</f>
        <v>3.6434293648246567E-2</v>
      </c>
      <c r="P2" s="6">
        <f>O2*SQRT(((N2/M2)^2)+((L2/K2)^2))</f>
        <v>0.26388827862345049</v>
      </c>
      <c r="Q2" s="15">
        <f>M2+O2</f>
        <v>0.10000000000000053</v>
      </c>
      <c r="R2" s="15">
        <v>0.95069999999999943</v>
      </c>
      <c r="S2" s="6">
        <v>1.4142135623730951E-4</v>
      </c>
      <c r="T2" s="15">
        <f t="shared" ref="T2:T16" si="3">M2/R2</f>
        <v>6.6862003104821724E-2</v>
      </c>
      <c r="U2" s="6">
        <f>T2*SQRT(((S2/R2)^2)+((N2/M2)^2))</f>
        <v>0.48427174327844891</v>
      </c>
      <c r="V2" s="15">
        <f>SUM($T$2:T2)</f>
        <v>6.6862003104821724E-2</v>
      </c>
      <c r="W2" s="6">
        <f>SQRT((U2^2))</f>
        <v>0.48427174327844891</v>
      </c>
      <c r="X2" s="15">
        <f>M2/60</f>
        <v>1.0594284391958995E-3</v>
      </c>
      <c r="Y2" s="6">
        <f>X2*SQRT(((N2/M2)^2))</f>
        <v>7.6732857706286592E-3</v>
      </c>
      <c r="Z2" s="6">
        <f>Y2^2</f>
        <v>5.8879314517732255E-5</v>
      </c>
      <c r="AA2" s="15">
        <f t="shared" ref="AA2:AA16" si="4">(C2-$AE$6)*24</f>
        <v>98.166666666744277</v>
      </c>
      <c r="AB2" s="20">
        <f>EXP(-$AE$9*AA2)</f>
        <v>0.9997303289372832</v>
      </c>
      <c r="AC2" s="15">
        <f>X2/AB2</f>
        <v>1.0597142134540177E-3</v>
      </c>
      <c r="AE2" t="s">
        <v>1</v>
      </c>
    </row>
    <row r="3" spans="1:31" x14ac:dyDescent="0.25">
      <c r="A3" s="28" t="s">
        <v>14</v>
      </c>
      <c r="B3" s="25">
        <v>43327.447916666664</v>
      </c>
      <c r="C3" s="10">
        <v>43330.612500000003</v>
      </c>
      <c r="D3" s="11">
        <v>7.71</v>
      </c>
      <c r="E3" s="8">
        <v>6.65</v>
      </c>
      <c r="F3" s="8">
        <f t="shared" ref="F3:F17" si="5">D3*(E3/100)</f>
        <v>0.51271500000000003</v>
      </c>
      <c r="G3" s="9">
        <f t="shared" ref="G3:G17" si="6">D3-$D$17</f>
        <v>7.0000000000000284E-2</v>
      </c>
      <c r="H3" s="8">
        <f t="shared" ref="H3:H17" si="7">SQRT((F3^2)+(F$17^2))</f>
        <v>0.72341954295484712</v>
      </c>
      <c r="I3" s="12">
        <f t="shared" ref="I3:I17" si="8">(C3-B3)*24</f>
        <v>75.950000000128057</v>
      </c>
      <c r="J3" s="13">
        <f t="shared" ref="J3:J17" si="9">1/60</f>
        <v>1.6666666666666666E-2</v>
      </c>
      <c r="K3" s="9">
        <f t="shared" si="0"/>
        <v>0.57573742810284689</v>
      </c>
      <c r="L3" s="8">
        <f t="shared" ref="L3:L17" si="10">K3*SQRT(((J3/I3)^2))</f>
        <v>1.2634132721129607E-4</v>
      </c>
      <c r="M3" s="9">
        <f t="shared" si="1"/>
        <v>4.4423644924318856E-2</v>
      </c>
      <c r="N3" s="8">
        <f t="shared" ref="N3:N17" si="11">M3*SQRT(((H3/G3)^2)+((L3/K3)^2))</f>
        <v>0.45909904163977028</v>
      </c>
      <c r="O3" s="9">
        <f t="shared" si="2"/>
        <v>2.5576355075681425E-2</v>
      </c>
      <c r="P3" s="8">
        <f t="shared" ref="P3:P17" si="12">O3*SQRT(((N3/M3)^2)+((L3/K3)^2))</f>
        <v>0.26432050153775111</v>
      </c>
      <c r="Q3" s="9">
        <f t="shared" ref="Q3:Q16" si="13">M3+O3</f>
        <v>7.0000000000000284E-2</v>
      </c>
      <c r="R3" s="9">
        <v>0.99580000000000002</v>
      </c>
      <c r="S3" s="8">
        <v>1.4142135623730951E-4</v>
      </c>
      <c r="T3" s="9">
        <f t="shared" si="3"/>
        <v>4.4611011171238057E-2</v>
      </c>
      <c r="U3" s="8">
        <f t="shared" ref="U3:U16" si="14">T3*SQRT(((S3/R3)^2)+((N3/M3)^2))</f>
        <v>0.46103539032247354</v>
      </c>
      <c r="V3" s="9">
        <f>SUM($T$2:T3)</f>
        <v>0.11147301427605978</v>
      </c>
      <c r="W3" s="8">
        <f>SQRT((U3^2)+(U2^2))</f>
        <v>0.668634991955808</v>
      </c>
      <c r="X3" s="9">
        <f t="shared" ref="X3:X17" si="15">M3/60</f>
        <v>7.4039408207198095E-4</v>
      </c>
      <c r="Y3" s="8">
        <f t="shared" ref="Y3:Y16" si="16">X3*SQRT(((N3/M3)^2))</f>
        <v>7.6516506939961716E-3</v>
      </c>
      <c r="Z3" s="8">
        <f t="shared" ref="Z3:Z16" si="17">Y3^2</f>
        <v>5.8547758342932097E-5</v>
      </c>
      <c r="AA3" s="9">
        <f t="shared" si="4"/>
        <v>98.700000000069849</v>
      </c>
      <c r="AB3" s="14">
        <f t="shared" ref="AB3:AB16" si="18">EXP(-$AE$9*AA3)</f>
        <v>0.99972886402997918</v>
      </c>
      <c r="AC3" s="9">
        <f t="shared" ref="AC3:AC16" si="19">X3/AB3</f>
        <v>7.4059488398424249E-4</v>
      </c>
      <c r="AE3">
        <f>LN(2)/61.4</f>
        <v>1.1289042028663604E-2</v>
      </c>
    </row>
    <row r="4" spans="1:31" x14ac:dyDescent="0.25">
      <c r="A4" s="28" t="s">
        <v>15</v>
      </c>
      <c r="B4" s="25">
        <v>43327.447916608799</v>
      </c>
      <c r="C4" s="10">
        <v>43330.635416666664</v>
      </c>
      <c r="D4" s="11">
        <v>7.54</v>
      </c>
      <c r="E4" s="8">
        <v>6.73</v>
      </c>
      <c r="F4" s="8">
        <f t="shared" si="5"/>
        <v>0.50744199999999995</v>
      </c>
      <c r="G4" s="9">
        <f t="shared" si="6"/>
        <v>-9.9999999999999645E-2</v>
      </c>
      <c r="H4" s="8">
        <f t="shared" si="7"/>
        <v>0.71969198082790942</v>
      </c>
      <c r="I4" s="12">
        <f t="shared" si="8"/>
        <v>76.500001388776582</v>
      </c>
      <c r="J4" s="13">
        <f t="shared" si="9"/>
        <v>1.6666666666666666E-2</v>
      </c>
      <c r="K4" s="9">
        <f t="shared" si="0"/>
        <v>0.5783635085680352</v>
      </c>
      <c r="L4" s="8">
        <f t="shared" si="10"/>
        <v>1.2600511940489274E-4</v>
      </c>
      <c r="M4" s="9">
        <f t="shared" si="1"/>
        <v>-6.335676126390194E-2</v>
      </c>
      <c r="N4" s="8">
        <f t="shared" si="11"/>
        <v>-0.45597353033751231</v>
      </c>
      <c r="O4" s="9">
        <f t="shared" si="2"/>
        <v>-3.6643238736097712E-2</v>
      </c>
      <c r="P4" s="8">
        <f t="shared" si="12"/>
        <v>-0.26371845094099178</v>
      </c>
      <c r="Q4" s="9">
        <f t="shared" si="13"/>
        <v>-9.9999999999999645E-2</v>
      </c>
      <c r="R4" s="9">
        <v>0.97860000000000014</v>
      </c>
      <c r="S4" s="8">
        <v>1.4142135623730951E-4</v>
      </c>
      <c r="T4" s="9">
        <f t="shared" si="3"/>
        <v>-6.474224531361325E-2</v>
      </c>
      <c r="U4" s="8">
        <f t="shared" si="14"/>
        <v>-0.46594474803743891</v>
      </c>
      <c r="V4" s="9">
        <f>SUM($T$2:T4)</f>
        <v>4.6730768962446531E-2</v>
      </c>
      <c r="W4" s="8">
        <f>SQRT((U4^2)+(U3^2)+(U2^2))</f>
        <v>0.81497071155435763</v>
      </c>
      <c r="X4" s="9">
        <f t="shared" si="15"/>
        <v>-1.0559460210650324E-3</v>
      </c>
      <c r="Y4" s="8">
        <f t="shared" si="16"/>
        <v>-7.5995588389585391E-3</v>
      </c>
      <c r="Z4" s="8">
        <f t="shared" si="17"/>
        <v>5.7753294546792861E-5</v>
      </c>
      <c r="AA4" s="9">
        <f t="shared" si="4"/>
        <v>99.249999999941792</v>
      </c>
      <c r="AB4" s="14">
        <f t="shared" si="18"/>
        <v>0.99972735334657037</v>
      </c>
      <c r="AC4" s="9">
        <f t="shared" si="19"/>
        <v>-1.0562339997302974E-3</v>
      </c>
    </row>
    <row r="5" spans="1:31" x14ac:dyDescent="0.25">
      <c r="A5" s="28" t="s">
        <v>16</v>
      </c>
      <c r="B5" s="25">
        <v>43327.447916608799</v>
      </c>
      <c r="C5" s="10">
        <v>43330.658333217594</v>
      </c>
      <c r="D5" s="11">
        <v>9.7899999999999991</v>
      </c>
      <c r="E5" s="8">
        <v>5.9</v>
      </c>
      <c r="F5" s="8">
        <f t="shared" si="5"/>
        <v>0.57760999999999996</v>
      </c>
      <c r="G5" s="9">
        <f t="shared" si="6"/>
        <v>2.1499999999999995</v>
      </c>
      <c r="H5" s="8">
        <f t="shared" si="7"/>
        <v>0.77077394611130945</v>
      </c>
      <c r="I5" s="12">
        <f t="shared" si="8"/>
        <v>77.049998611095361</v>
      </c>
      <c r="J5" s="13">
        <f t="shared" si="9"/>
        <v>1.6666666666666666E-2</v>
      </c>
      <c r="K5" s="9">
        <f t="shared" si="0"/>
        <v>0.58097331453572287</v>
      </c>
      <c r="L5" s="8">
        <f t="shared" si="10"/>
        <v>1.2567019792523429E-4</v>
      </c>
      <c r="M5" s="9">
        <f t="shared" si="1"/>
        <v>1.3599217521463225</v>
      </c>
      <c r="N5" s="8">
        <f t="shared" si="11"/>
        <v>0.48753137028268967</v>
      </c>
      <c r="O5" s="9">
        <f t="shared" si="2"/>
        <v>0.79007824785367675</v>
      </c>
      <c r="P5" s="8">
        <f t="shared" si="12"/>
        <v>0.28324276769217827</v>
      </c>
      <c r="Q5" s="9">
        <f t="shared" si="13"/>
        <v>2.1499999999999995</v>
      </c>
      <c r="R5" s="9">
        <v>0.82200000000000006</v>
      </c>
      <c r="S5" s="8">
        <v>1.4142135623730951E-4</v>
      </c>
      <c r="T5" s="9">
        <f t="shared" si="3"/>
        <v>1.6544060245089081</v>
      </c>
      <c r="U5" s="8">
        <f t="shared" si="14"/>
        <v>0.59310392508987808</v>
      </c>
      <c r="V5" s="9">
        <f>SUM($T$2:T5)</f>
        <v>1.7011367934713546</v>
      </c>
      <c r="W5" s="8">
        <f>SQRT((U5^2)+(U4^2)+(U3^2)+(U2^2))</f>
        <v>1.0079432159841324</v>
      </c>
      <c r="X5" s="9">
        <f t="shared" si="15"/>
        <v>2.2665362535772043E-2</v>
      </c>
      <c r="Y5" s="8">
        <f t="shared" si="16"/>
        <v>8.1255228380448276E-3</v>
      </c>
      <c r="Z5" s="8">
        <f t="shared" si="17"/>
        <v>6.6024121391588069E-5</v>
      </c>
      <c r="AA5" s="9">
        <f t="shared" si="4"/>
        <v>99.799997222260572</v>
      </c>
      <c r="AB5" s="14">
        <f t="shared" si="18"/>
        <v>0.99972584267307341</v>
      </c>
      <c r="AC5" s="9">
        <f t="shared" si="19"/>
        <v>2.2671578115025265E-2</v>
      </c>
    </row>
    <row r="6" spans="1:31" x14ac:dyDescent="0.25">
      <c r="A6" s="28" t="s">
        <v>17</v>
      </c>
      <c r="B6" s="25">
        <v>43327.447916608799</v>
      </c>
      <c r="C6" s="10">
        <v>43330.68124982639</v>
      </c>
      <c r="D6" s="11">
        <v>18.899999999999999</v>
      </c>
      <c r="E6" s="8">
        <v>4.25</v>
      </c>
      <c r="F6" s="8">
        <f t="shared" si="5"/>
        <v>0.80325000000000002</v>
      </c>
      <c r="G6" s="9">
        <f t="shared" si="6"/>
        <v>11.259999999999998</v>
      </c>
      <c r="H6" s="8">
        <f t="shared" si="7"/>
        <v>0.95166681480652671</v>
      </c>
      <c r="I6" s="12">
        <f t="shared" si="8"/>
        <v>77.599997222190723</v>
      </c>
      <c r="J6" s="13">
        <f t="shared" si="9"/>
        <v>1.6666666666666666E-2</v>
      </c>
      <c r="K6" s="9">
        <f t="shared" si="0"/>
        <v>0.58356697310028272</v>
      </c>
      <c r="L6" s="8">
        <f t="shared" si="10"/>
        <v>1.2533655369199854E-4</v>
      </c>
      <c r="M6" s="9">
        <f t="shared" si="1"/>
        <v>7.1105297036824053</v>
      </c>
      <c r="N6" s="8">
        <f t="shared" si="11"/>
        <v>0.60096598614335883</v>
      </c>
      <c r="O6" s="9">
        <f t="shared" si="2"/>
        <v>4.1494702963175918</v>
      </c>
      <c r="P6" s="8">
        <f t="shared" si="12"/>
        <v>0.35070503383927754</v>
      </c>
      <c r="Q6" s="9">
        <f t="shared" si="13"/>
        <v>11.259999999999998</v>
      </c>
      <c r="R6" s="9">
        <v>0.7981000000000007</v>
      </c>
      <c r="S6" s="8">
        <v>1.4142135623730951E-4</v>
      </c>
      <c r="T6" s="9">
        <f t="shared" si="3"/>
        <v>8.9093217688039079</v>
      </c>
      <c r="U6" s="8">
        <f t="shared" si="14"/>
        <v>0.75299750275530752</v>
      </c>
      <c r="V6" s="9">
        <f>SUM($T$2:T6)</f>
        <v>10.610458562275262</v>
      </c>
      <c r="W6" s="8">
        <f>SQRT((U6^2)+(U5^2)+(U4^2)+(U3^2)+(U2^2))</f>
        <v>1.2581553027365757</v>
      </c>
      <c r="X6" s="9">
        <f t="shared" si="15"/>
        <v>0.11850882839470675</v>
      </c>
      <c r="Y6" s="8">
        <f t="shared" si="16"/>
        <v>1.0016099769055981E-2</v>
      </c>
      <c r="Z6" s="8">
        <f t="shared" si="17"/>
        <v>1.0032225458368327E-4</v>
      </c>
      <c r="AA6" s="9">
        <f t="shared" si="4"/>
        <v>100.34999583335593</v>
      </c>
      <c r="AB6" s="14">
        <f t="shared" si="18"/>
        <v>0.99972433199804478</v>
      </c>
      <c r="AC6" s="9">
        <f t="shared" si="19"/>
        <v>0.11854150649495097</v>
      </c>
      <c r="AE6" s="1">
        <v>43326.5</v>
      </c>
    </row>
    <row r="7" spans="1:31" x14ac:dyDescent="0.25">
      <c r="A7" s="28" t="s">
        <v>18</v>
      </c>
      <c r="B7" s="25">
        <v>43327.447916608799</v>
      </c>
      <c r="C7" s="10">
        <v>43330.704166435185</v>
      </c>
      <c r="D7" s="11">
        <v>74.86</v>
      </c>
      <c r="E7" s="8">
        <v>2.13</v>
      </c>
      <c r="F7" s="8">
        <f t="shared" si="5"/>
        <v>1.5945179999999999</v>
      </c>
      <c r="G7" s="9">
        <f t="shared" si="6"/>
        <v>67.22</v>
      </c>
      <c r="H7" s="8">
        <f t="shared" si="7"/>
        <v>1.6742003512805745</v>
      </c>
      <c r="I7" s="12">
        <f t="shared" si="8"/>
        <v>78.149995833286084</v>
      </c>
      <c r="J7" s="13">
        <f t="shared" si="9"/>
        <v>1.6666666666666666E-2</v>
      </c>
      <c r="K7" s="9">
        <f t="shared" si="0"/>
        <v>0.5861445776401637</v>
      </c>
      <c r="L7" s="8">
        <f t="shared" si="10"/>
        <v>1.2500418189199478E-4</v>
      </c>
      <c r="M7" s="9">
        <f t="shared" si="1"/>
        <v>42.379491092803569</v>
      </c>
      <c r="N7" s="8">
        <f t="shared" si="11"/>
        <v>1.0555542980389159</v>
      </c>
      <c r="O7" s="9">
        <f t="shared" si="2"/>
        <v>24.840508907196426</v>
      </c>
      <c r="P7" s="8">
        <f t="shared" si="12"/>
        <v>0.61873010789858751</v>
      </c>
      <c r="Q7" s="9">
        <f t="shared" si="13"/>
        <v>67.22</v>
      </c>
      <c r="R7" s="9">
        <v>0.76899999999999924</v>
      </c>
      <c r="S7" s="8">
        <v>1.4142135623730951E-4</v>
      </c>
      <c r="T7" s="9">
        <f t="shared" si="3"/>
        <v>55.10987138205931</v>
      </c>
      <c r="U7" s="8">
        <f t="shared" si="14"/>
        <v>1.3726697921816737</v>
      </c>
      <c r="V7" s="9">
        <f>SUM($T$2:T7)</f>
        <v>65.720329944334566</v>
      </c>
      <c r="W7" s="8">
        <f>SQRT((U7^2)+(U6^2)+(U5^2)+(U4^2)+(U3^2)+(U2^2))</f>
        <v>1.8620357472863522</v>
      </c>
      <c r="X7" s="9">
        <f t="shared" si="15"/>
        <v>0.7063248515467262</v>
      </c>
      <c r="Y7" s="8">
        <f t="shared" si="16"/>
        <v>1.7592571633981934E-2</v>
      </c>
      <c r="Z7" s="8">
        <f t="shared" si="17"/>
        <v>3.0949857669678577E-4</v>
      </c>
      <c r="AA7" s="9">
        <f t="shared" si="4"/>
        <v>100.89999444445129</v>
      </c>
      <c r="AB7" s="14">
        <f t="shared" si="18"/>
        <v>0.99972282132529877</v>
      </c>
      <c r="AC7" s="9">
        <f t="shared" si="19"/>
        <v>0.70652068401357004</v>
      </c>
    </row>
    <row r="8" spans="1:31" x14ac:dyDescent="0.25">
      <c r="A8" s="28" t="s">
        <v>19</v>
      </c>
      <c r="B8" s="25">
        <v>43327.447916608799</v>
      </c>
      <c r="C8" s="10">
        <v>43330.727083043981</v>
      </c>
      <c r="D8" s="11">
        <v>244.34</v>
      </c>
      <c r="E8" s="8">
        <v>1.18</v>
      </c>
      <c r="F8" s="8">
        <f t="shared" si="5"/>
        <v>2.8832119999999999</v>
      </c>
      <c r="G8" s="9">
        <f t="shared" si="6"/>
        <v>236.70000000000002</v>
      </c>
      <c r="H8" s="8">
        <f t="shared" si="7"/>
        <v>2.928031864725519</v>
      </c>
      <c r="I8" s="12">
        <f t="shared" si="8"/>
        <v>78.699994444381446</v>
      </c>
      <c r="J8" s="13">
        <f t="shared" si="9"/>
        <v>1.6666666666666666E-2</v>
      </c>
      <c r="K8" s="9">
        <f t="shared" si="0"/>
        <v>0.58870622752531077</v>
      </c>
      <c r="L8" s="8">
        <f t="shared" si="10"/>
        <v>1.246730768918836E-4</v>
      </c>
      <c r="M8" s="9">
        <f t="shared" si="1"/>
        <v>148.98915601829162</v>
      </c>
      <c r="N8" s="8">
        <f t="shared" si="11"/>
        <v>1.8432991972287631</v>
      </c>
      <c r="O8" s="9">
        <f t="shared" si="2"/>
        <v>87.710843981708408</v>
      </c>
      <c r="P8" s="8">
        <f t="shared" si="12"/>
        <v>1.085320680463854</v>
      </c>
      <c r="Q8" s="9">
        <f t="shared" si="13"/>
        <v>236.70000000000005</v>
      </c>
      <c r="R8" s="9">
        <v>0.79209999999999958</v>
      </c>
      <c r="S8" s="8">
        <v>1.4142135623730951E-4</v>
      </c>
      <c r="T8" s="9">
        <f t="shared" si="3"/>
        <v>188.09387200895304</v>
      </c>
      <c r="U8" s="8">
        <f t="shared" si="14"/>
        <v>2.3273464485797564</v>
      </c>
      <c r="V8" s="9">
        <f>SUM($T$2:T8)</f>
        <v>253.81420195328761</v>
      </c>
      <c r="W8" s="8">
        <f>SQRT((U8^2)+(U7^2)+(U6^2)+(U5^2)+(U4^2)+(U3^2)+(U2^2))</f>
        <v>2.9805567627356218</v>
      </c>
      <c r="X8" s="9">
        <f t="shared" si="15"/>
        <v>2.4831526003048605</v>
      </c>
      <c r="Y8" s="8">
        <f t="shared" si="16"/>
        <v>3.0721653287146055E-2</v>
      </c>
      <c r="Z8" s="8">
        <f t="shared" si="17"/>
        <v>9.43819980695612E-4</v>
      </c>
      <c r="AA8" s="9">
        <f t="shared" si="4"/>
        <v>101.44999305554666</v>
      </c>
      <c r="AB8" s="14">
        <f t="shared" si="18"/>
        <v>0.9997213106548356</v>
      </c>
      <c r="AC8" s="9">
        <f t="shared" si="19"/>
        <v>2.483844821391624</v>
      </c>
      <c r="AE8" t="s">
        <v>29</v>
      </c>
    </row>
    <row r="9" spans="1:31" x14ac:dyDescent="0.25">
      <c r="A9" s="28" t="s">
        <v>20</v>
      </c>
      <c r="B9" s="25">
        <v>43327.447916608799</v>
      </c>
      <c r="C9" s="10">
        <v>43330.749999652777</v>
      </c>
      <c r="D9" s="11">
        <v>303.99</v>
      </c>
      <c r="E9" s="8">
        <v>1.06</v>
      </c>
      <c r="F9" s="8">
        <f t="shared" si="5"/>
        <v>3.2222940000000002</v>
      </c>
      <c r="G9" s="9">
        <f t="shared" si="6"/>
        <v>296.35000000000002</v>
      </c>
      <c r="H9" s="8">
        <f t="shared" si="7"/>
        <v>3.2624588558846228</v>
      </c>
      <c r="I9" s="12">
        <f t="shared" si="8"/>
        <v>79.249993055476807</v>
      </c>
      <c r="J9" s="13">
        <f t="shared" si="9"/>
        <v>1.6666666666666666E-2</v>
      </c>
      <c r="K9" s="9">
        <f t="shared" si="0"/>
        <v>0.5912520215105963</v>
      </c>
      <c r="L9" s="8">
        <f t="shared" si="10"/>
        <v>1.2434323308535526E-4</v>
      </c>
      <c r="M9" s="9">
        <f t="shared" si="1"/>
        <v>186.23699828432652</v>
      </c>
      <c r="N9" s="8">
        <f t="shared" si="11"/>
        <v>2.0506205520542111</v>
      </c>
      <c r="O9" s="9">
        <f t="shared" si="2"/>
        <v>110.11300171567351</v>
      </c>
      <c r="P9" s="8">
        <f t="shared" si="12"/>
        <v>1.21265467727692</v>
      </c>
      <c r="Q9" s="9">
        <f t="shared" si="13"/>
        <v>296.35000000000002</v>
      </c>
      <c r="R9" s="9">
        <v>0.76869999999999994</v>
      </c>
      <c r="S9" s="8">
        <v>1.4142135623730951E-4</v>
      </c>
      <c r="T9" s="9">
        <f t="shared" si="3"/>
        <v>242.27526770434048</v>
      </c>
      <c r="U9" s="8">
        <f t="shared" si="14"/>
        <v>2.6680197394953495</v>
      </c>
      <c r="V9" s="9">
        <f>SUM($T$2:T9)</f>
        <v>496.08946965762811</v>
      </c>
      <c r="W9" s="8">
        <f>SQRT((U9^2)+(U8^2)+(U7^2)+(U6^2)+(U5^2)+(U4^2)+(U3^2)+(U2^2))</f>
        <v>4.0002559850871897</v>
      </c>
      <c r="X9" s="9">
        <f t="shared" si="15"/>
        <v>3.1039499714054419</v>
      </c>
      <c r="Y9" s="8">
        <f t="shared" si="16"/>
        <v>3.4177009200903517E-2</v>
      </c>
      <c r="Z9" s="8">
        <f t="shared" si="17"/>
        <v>1.1680679579186438E-3</v>
      </c>
      <c r="AA9" s="9">
        <f t="shared" si="4"/>
        <v>101.99999166664202</v>
      </c>
      <c r="AB9" s="14">
        <f t="shared" si="18"/>
        <v>0.99971979998665517</v>
      </c>
      <c r="AC9" s="9">
        <f t="shared" si="19"/>
        <v>3.1048199419946223</v>
      </c>
      <c r="AE9">
        <f>LN(2)/252288</f>
        <v>2.7474441137110973E-6</v>
      </c>
    </row>
    <row r="10" spans="1:31" x14ac:dyDescent="0.25">
      <c r="A10" s="28" t="s">
        <v>21</v>
      </c>
      <c r="B10" s="25">
        <v>43327.447916608799</v>
      </c>
      <c r="C10" s="10">
        <v>43330.772916261572</v>
      </c>
      <c r="D10" s="11">
        <v>217.42</v>
      </c>
      <c r="E10" s="8">
        <v>1.25</v>
      </c>
      <c r="F10" s="8">
        <f t="shared" si="5"/>
        <v>2.7177500000000001</v>
      </c>
      <c r="G10" s="9">
        <f t="shared" si="6"/>
        <v>209.78</v>
      </c>
      <c r="H10" s="8">
        <f t="shared" si="7"/>
        <v>2.7652530130901223</v>
      </c>
      <c r="I10" s="12">
        <f t="shared" si="8"/>
        <v>79.799991666572168</v>
      </c>
      <c r="J10" s="13">
        <f t="shared" si="9"/>
        <v>1.6666666666666666E-2</v>
      </c>
      <c r="K10" s="9">
        <f t="shared" si="0"/>
        <v>0.59378205773962778</v>
      </c>
      <c r="L10" s="8">
        <f t="shared" si="10"/>
        <v>1.2401464489299362E-4</v>
      </c>
      <c r="M10" s="9">
        <f t="shared" si="1"/>
        <v>131.62401909425387</v>
      </c>
      <c r="N10" s="8">
        <f t="shared" si="11"/>
        <v>1.735243585072767</v>
      </c>
      <c r="O10" s="9">
        <f t="shared" si="2"/>
        <v>78.155980905746119</v>
      </c>
      <c r="P10" s="8">
        <f t="shared" si="12"/>
        <v>1.0304857985730629</v>
      </c>
      <c r="Q10" s="9">
        <f t="shared" si="13"/>
        <v>209.77999999999997</v>
      </c>
      <c r="R10" s="9">
        <v>0.7594000000000003</v>
      </c>
      <c r="S10" s="8">
        <v>1.4142135623730951E-4</v>
      </c>
      <c r="T10" s="9">
        <f t="shared" si="3"/>
        <v>173.32633538879881</v>
      </c>
      <c r="U10" s="8">
        <f t="shared" si="14"/>
        <v>2.2852471753689727</v>
      </c>
      <c r="V10" s="9">
        <f>SUM($T$2:T10)</f>
        <v>669.41580504642695</v>
      </c>
      <c r="W10" s="8">
        <f>SQRT((U10^2)+(U9^2)+(U8^2)+(U7^2)+(U6^2)+(U5^2)+(U4^2)+(U3^2)+(U2^2))</f>
        <v>4.6069949640473613</v>
      </c>
      <c r="X10" s="9">
        <f t="shared" si="15"/>
        <v>2.1937336515708976</v>
      </c>
      <c r="Y10" s="8">
        <f t="shared" si="16"/>
        <v>2.8920726417879447E-2</v>
      </c>
      <c r="Z10" s="8">
        <f t="shared" si="17"/>
        <v>8.3640841653783013E-4</v>
      </c>
      <c r="AA10" s="9">
        <f t="shared" si="4"/>
        <v>102.54999027773738</v>
      </c>
      <c r="AB10" s="14">
        <f t="shared" si="18"/>
        <v>0.99971828932075757</v>
      </c>
      <c r="AC10" s="9">
        <f t="shared" si="19"/>
        <v>2.1943518239137094</v>
      </c>
    </row>
    <row r="11" spans="1:31" x14ac:dyDescent="0.25">
      <c r="A11" s="28" t="s">
        <v>22</v>
      </c>
      <c r="B11" s="25">
        <v>43327.447916608799</v>
      </c>
      <c r="C11" s="10">
        <v>43330.795832870368</v>
      </c>
      <c r="D11" s="11">
        <v>110.79</v>
      </c>
      <c r="E11" s="8">
        <v>1.75</v>
      </c>
      <c r="F11" s="8">
        <f>D11*(E11/100)</f>
        <v>1.9388250000000002</v>
      </c>
      <c r="G11" s="9">
        <f t="shared" si="6"/>
        <v>103.15</v>
      </c>
      <c r="H11" s="8">
        <f t="shared" si="7"/>
        <v>2.0048694582263953</v>
      </c>
      <c r="I11" s="12">
        <f t="shared" si="8"/>
        <v>80.34999027766753</v>
      </c>
      <c r="J11" s="13">
        <f t="shared" si="9"/>
        <v>1.6666666666666666E-2</v>
      </c>
      <c r="K11" s="9">
        <f t="shared" si="0"/>
        <v>0.59629643374853059</v>
      </c>
      <c r="L11" s="8">
        <f t="shared" si="10"/>
        <v>1.2368730676214017E-4</v>
      </c>
      <c r="M11" s="9">
        <f t="shared" si="1"/>
        <v>64.618323902269353</v>
      </c>
      <c r="N11" s="8">
        <f t="shared" si="11"/>
        <v>1.2560221156864377</v>
      </c>
      <c r="O11" s="9">
        <f t="shared" si="2"/>
        <v>38.531676097730646</v>
      </c>
      <c r="P11" s="8">
        <f t="shared" si="12"/>
        <v>0.74900415247490815</v>
      </c>
      <c r="Q11" s="9">
        <f t="shared" si="13"/>
        <v>103.15</v>
      </c>
      <c r="R11" s="9">
        <v>0.79290000000000038</v>
      </c>
      <c r="S11" s="8">
        <v>1.4142135623730951E-4</v>
      </c>
      <c r="T11" s="9">
        <f t="shared" si="3"/>
        <v>81.496183506456447</v>
      </c>
      <c r="U11" s="8">
        <f t="shared" si="14"/>
        <v>1.5841530998178242</v>
      </c>
      <c r="V11" s="9">
        <f>SUM($T$2:T11)</f>
        <v>750.91198855288337</v>
      </c>
      <c r="W11" s="8">
        <f>SQRT((U11^2)+(U10^2)+(U9^2)+(U8^2)+(U7^2)+(U6^2)+(U5^2)+(U4^2)+(U3^2)+(U2^2))</f>
        <v>4.8717495463560292</v>
      </c>
      <c r="X11" s="9">
        <f t="shared" si="15"/>
        <v>1.0769720650378225</v>
      </c>
      <c r="Y11" s="8">
        <f t="shared" si="16"/>
        <v>2.0933701928107295E-2</v>
      </c>
      <c r="Z11" s="8">
        <f t="shared" si="17"/>
        <v>4.382198764148431E-4</v>
      </c>
      <c r="AA11" s="9">
        <f t="shared" si="4"/>
        <v>103.09998888883274</v>
      </c>
      <c r="AB11" s="14">
        <f t="shared" si="18"/>
        <v>0.99971677865714259</v>
      </c>
      <c r="AC11" s="9">
        <f t="shared" si="19"/>
        <v>1.0772771729253681</v>
      </c>
    </row>
    <row r="12" spans="1:31" x14ac:dyDescent="0.25">
      <c r="A12" s="28" t="s">
        <v>23</v>
      </c>
      <c r="B12" s="25">
        <v>43327.447916608799</v>
      </c>
      <c r="C12" s="10">
        <v>43330.817361111112</v>
      </c>
      <c r="D12" s="11">
        <v>45.24</v>
      </c>
      <c r="E12" s="8">
        <v>2.75</v>
      </c>
      <c r="F12" s="8">
        <f>D12*(E12/100)</f>
        <v>1.2441</v>
      </c>
      <c r="G12" s="9">
        <f t="shared" si="6"/>
        <v>37.6</v>
      </c>
      <c r="H12" s="8">
        <f t="shared" si="7"/>
        <v>1.3447096243814127</v>
      </c>
      <c r="I12" s="12">
        <f t="shared" si="8"/>
        <v>80.8666680555325</v>
      </c>
      <c r="J12" s="13">
        <f t="shared" si="9"/>
        <v>1.6666666666666666E-2</v>
      </c>
      <c r="K12" s="9">
        <f t="shared" si="0"/>
        <v>0.5986443007864628</v>
      </c>
      <c r="L12" s="8">
        <f t="shared" si="10"/>
        <v>1.2338093373967209E-4</v>
      </c>
      <c r="M12" s="9">
        <f t="shared" si="1"/>
        <v>23.519928718040937</v>
      </c>
      <c r="N12" s="8">
        <f t="shared" si="11"/>
        <v>0.84117020456570346</v>
      </c>
      <c r="O12" s="9">
        <f t="shared" si="2"/>
        <v>14.080071281959063</v>
      </c>
      <c r="P12" s="8">
        <f t="shared" si="12"/>
        <v>0.50357011040802968</v>
      </c>
      <c r="Q12" s="9">
        <f t="shared" si="13"/>
        <v>37.6</v>
      </c>
      <c r="R12" s="9">
        <v>0.79349999999999987</v>
      </c>
      <c r="S12" s="8">
        <v>1.4142135623730951E-4</v>
      </c>
      <c r="T12" s="9">
        <f t="shared" si="3"/>
        <v>29.640741925697469</v>
      </c>
      <c r="U12" s="8">
        <f t="shared" si="14"/>
        <v>1.0600890348578536</v>
      </c>
      <c r="V12" s="9">
        <f>SUM($T$2:T12)</f>
        <v>780.55273047858088</v>
      </c>
      <c r="W12" s="8">
        <f>SQRT((U12^2)+(U11^2)+(U10^2)+(U9^2)+(U8^2)+(U7^2)+(U6^2)+(U5^2)+(U4^2)+(U3^2)+(U2^2))</f>
        <v>4.9857529425600333</v>
      </c>
      <c r="X12" s="9">
        <f t="shared" si="15"/>
        <v>0.39199881196734893</v>
      </c>
      <c r="Y12" s="8">
        <f t="shared" si="16"/>
        <v>1.401950340942839E-2</v>
      </c>
      <c r="Z12" s="8">
        <f t="shared" si="17"/>
        <v>1.9654647584697424E-4</v>
      </c>
      <c r="AA12" s="9">
        <f t="shared" si="4"/>
        <v>103.61666666669771</v>
      </c>
      <c r="AB12" s="14">
        <f t="shared" si="18"/>
        <v>0.9997153595168754</v>
      </c>
      <c r="AC12" s="9">
        <f t="shared" si="19"/>
        <v>0.39211042246743827</v>
      </c>
    </row>
    <row r="13" spans="1:31" x14ac:dyDescent="0.25">
      <c r="A13" s="28" t="s">
        <v>24</v>
      </c>
      <c r="B13" s="25">
        <v>43327.447916608799</v>
      </c>
      <c r="C13" s="10">
        <v>43330.840277777781</v>
      </c>
      <c r="D13" s="11">
        <v>21.59</v>
      </c>
      <c r="E13" s="8">
        <v>3.97</v>
      </c>
      <c r="F13" s="8">
        <f t="shared" si="5"/>
        <v>0.85712299999999997</v>
      </c>
      <c r="G13" s="9">
        <f t="shared" si="6"/>
        <v>13.95</v>
      </c>
      <c r="H13" s="8">
        <f t="shared" si="7"/>
        <v>0.99755651520753441</v>
      </c>
      <c r="I13" s="12">
        <f t="shared" si="8"/>
        <v>81.416668055579066</v>
      </c>
      <c r="J13" s="13">
        <f t="shared" si="9"/>
        <v>1.6666666666666666E-2</v>
      </c>
      <c r="K13" s="9">
        <f t="shared" si="0"/>
        <v>0.60112858711838202</v>
      </c>
      <c r="L13" s="8">
        <f t="shared" si="10"/>
        <v>1.2305600345210673E-4</v>
      </c>
      <c r="M13" s="9">
        <f t="shared" si="1"/>
        <v>8.7126044168047727</v>
      </c>
      <c r="N13" s="8">
        <f t="shared" si="11"/>
        <v>0.62303590771430828</v>
      </c>
      <c r="O13" s="9">
        <f t="shared" si="2"/>
        <v>5.2373955831952275</v>
      </c>
      <c r="P13" s="8">
        <f t="shared" si="12"/>
        <v>0.37452622951088682</v>
      </c>
      <c r="Q13" s="9">
        <f t="shared" si="13"/>
        <v>13.95</v>
      </c>
      <c r="R13" s="9">
        <v>0.78000000000000025</v>
      </c>
      <c r="S13" s="8">
        <v>1.4142135623730951E-4</v>
      </c>
      <c r="T13" s="9">
        <f t="shared" si="3"/>
        <v>11.170005662570217</v>
      </c>
      <c r="U13" s="8">
        <f t="shared" si="14"/>
        <v>0.79876655167791333</v>
      </c>
      <c r="V13" s="9">
        <f>SUM($T$2:T13)</f>
        <v>791.72273614115113</v>
      </c>
      <c r="W13" s="8">
        <f>SQRT((U13^2)+(U12^2)+(U11^2)+(U10^2)+(U9^2)+(U8^2)+(U7^2)+(U6^2)+(U5^2)+(U4^2)+(U3^2)+(U2^2))</f>
        <v>5.0493326696035243</v>
      </c>
      <c r="X13" s="9">
        <f t="shared" si="15"/>
        <v>0.14521007361341287</v>
      </c>
      <c r="Y13" s="8">
        <f t="shared" si="16"/>
        <v>1.0383931795238471E-2</v>
      </c>
      <c r="Z13" s="8">
        <f t="shared" si="17"/>
        <v>1.0782603952816447E-4</v>
      </c>
      <c r="AA13" s="9">
        <f t="shared" si="4"/>
        <v>104.16666666674428</v>
      </c>
      <c r="AB13" s="14">
        <f t="shared" si="18"/>
        <v>0.99971384885387271</v>
      </c>
      <c r="AC13" s="9">
        <f t="shared" si="19"/>
        <v>0.14525163753597065</v>
      </c>
    </row>
    <row r="14" spans="1:31" x14ac:dyDescent="0.25">
      <c r="A14" s="28" t="s">
        <v>25</v>
      </c>
      <c r="B14" s="25">
        <v>43327.447916608799</v>
      </c>
      <c r="C14" s="10">
        <v>43330.863194444442</v>
      </c>
      <c r="D14" s="11">
        <v>14.7</v>
      </c>
      <c r="E14" s="8">
        <v>4.82</v>
      </c>
      <c r="F14" s="8">
        <f t="shared" si="5"/>
        <v>0.70853999999999995</v>
      </c>
      <c r="G14" s="9">
        <f t="shared" si="6"/>
        <v>7.06</v>
      </c>
      <c r="H14" s="8">
        <f t="shared" si="7"/>
        <v>0.87320564330746275</v>
      </c>
      <c r="I14" s="12">
        <f t="shared" si="8"/>
        <v>81.966668055451009</v>
      </c>
      <c r="J14" s="13">
        <f t="shared" si="9"/>
        <v>1.6666666666666666E-2</v>
      </c>
      <c r="K14" s="9">
        <f t="shared" si="0"/>
        <v>0.60359749636980964</v>
      </c>
      <c r="L14" s="8">
        <f t="shared" si="10"/>
        <v>1.2273230706443417E-4</v>
      </c>
      <c r="M14" s="9">
        <f t="shared" si="1"/>
        <v>4.4026010367204238</v>
      </c>
      <c r="N14" s="8">
        <f t="shared" si="11"/>
        <v>0.54452992430690528</v>
      </c>
      <c r="O14" s="9">
        <f t="shared" si="2"/>
        <v>2.6573989632795763</v>
      </c>
      <c r="P14" s="8">
        <f t="shared" si="12"/>
        <v>0.32867734316757874</v>
      </c>
      <c r="Q14" s="9">
        <f t="shared" si="13"/>
        <v>7.0600000000000005</v>
      </c>
      <c r="R14" s="9">
        <v>0.75620000000000065</v>
      </c>
      <c r="S14" s="8">
        <v>1.4142135623730951E-4</v>
      </c>
      <c r="T14" s="9">
        <f t="shared" si="3"/>
        <v>5.822006131605951</v>
      </c>
      <c r="U14" s="8">
        <f t="shared" si="14"/>
        <v>0.72008800156561326</v>
      </c>
      <c r="V14" s="9">
        <f>SUM($T$2:T14)</f>
        <v>797.54474227275705</v>
      </c>
      <c r="W14" s="8">
        <f>SQRT((U14^2)+(U13^2)+(U12^2)+(U11^2)+(U10^2)+(U9^2)+(U8^2)+(U7^2)+(U6^2)+(U5^2)+(U4^2)+(U3^2)+(U2^2))</f>
        <v>5.1004202903608062</v>
      </c>
      <c r="X14" s="9">
        <f t="shared" si="15"/>
        <v>7.3376683945340401E-2</v>
      </c>
      <c r="Y14" s="8">
        <f t="shared" si="16"/>
        <v>9.0754987384484218E-3</v>
      </c>
      <c r="Z14" s="8">
        <f t="shared" si="17"/>
        <v>8.2364677351578892E-5</v>
      </c>
      <c r="AA14" s="9">
        <f t="shared" si="4"/>
        <v>104.71666666661622</v>
      </c>
      <c r="AB14" s="14">
        <f t="shared" si="18"/>
        <v>0.99971233819315319</v>
      </c>
      <c r="AC14" s="9">
        <f t="shared" si="19"/>
        <v>7.339779768844204E-2</v>
      </c>
    </row>
    <row r="15" spans="1:31" x14ac:dyDescent="0.25">
      <c r="A15" s="28" t="s">
        <v>26</v>
      </c>
      <c r="B15" s="25">
        <v>43327.447916608799</v>
      </c>
      <c r="C15" s="10">
        <v>43330.886111111111</v>
      </c>
      <c r="D15" s="11">
        <v>11.08</v>
      </c>
      <c r="E15" s="8">
        <v>5.55</v>
      </c>
      <c r="F15" s="8">
        <f t="shared" si="5"/>
        <v>0.61494000000000004</v>
      </c>
      <c r="G15" s="9">
        <f t="shared" si="6"/>
        <v>3.4400000000000004</v>
      </c>
      <c r="H15" s="8">
        <f t="shared" si="7"/>
        <v>0.7991310077227638</v>
      </c>
      <c r="I15" s="12">
        <f t="shared" si="8"/>
        <v>82.516668055497576</v>
      </c>
      <c r="J15" s="13">
        <f t="shared" si="9"/>
        <v>1.6666666666666666E-2</v>
      </c>
      <c r="K15" s="9">
        <f t="shared" si="0"/>
        <v>0.60605112372239678</v>
      </c>
      <c r="L15" s="8">
        <f t="shared" si="10"/>
        <v>1.2240983912785349E-4</v>
      </c>
      <c r="M15" s="9">
        <f t="shared" si="1"/>
        <v>2.1418994384356838</v>
      </c>
      <c r="N15" s="8">
        <f t="shared" si="11"/>
        <v>0.49757526268743868</v>
      </c>
      <c r="O15" s="9">
        <f t="shared" si="2"/>
        <v>1.2981005615643169</v>
      </c>
      <c r="P15" s="8">
        <f t="shared" si="12"/>
        <v>0.30155616106924826</v>
      </c>
      <c r="Q15" s="9">
        <f t="shared" si="13"/>
        <v>3.4400000000000004</v>
      </c>
      <c r="R15" s="9">
        <v>0.77740000000000009</v>
      </c>
      <c r="S15" s="8">
        <v>1.4142135623730951E-4</v>
      </c>
      <c r="T15" s="9">
        <f t="shared" si="3"/>
        <v>2.7552089509077482</v>
      </c>
      <c r="U15" s="8">
        <f t="shared" si="14"/>
        <v>0.64005070137740505</v>
      </c>
      <c r="V15" s="9">
        <f>SUM($T$2:T15)</f>
        <v>800.29995122366483</v>
      </c>
      <c r="W15" s="8">
        <f>SQRT((U15^2)+(U14^2)+(U13^2)+(U12^2)+(U11^2)+(U10^2)+(U9^2)+(U8^2)+(U7^2)+(U6^2)+(U5^2)+(U4^2)+(U3^2)+(U2^2))</f>
        <v>5.1404233326310704</v>
      </c>
      <c r="X15" s="9">
        <f t="shared" si="15"/>
        <v>3.569832397392806E-2</v>
      </c>
      <c r="Y15" s="8">
        <f t="shared" si="16"/>
        <v>8.2929210447906434E-3</v>
      </c>
      <c r="Z15" s="8">
        <f t="shared" si="17"/>
        <v>6.8772539455131537E-5</v>
      </c>
      <c r="AA15" s="9">
        <f t="shared" si="4"/>
        <v>105.26666666666279</v>
      </c>
      <c r="AB15" s="14">
        <f t="shared" si="18"/>
        <v>0.99971082753471607</v>
      </c>
      <c r="AC15" s="9">
        <f t="shared" si="19"/>
        <v>3.570864993226093E-2</v>
      </c>
    </row>
    <row r="16" spans="1:31" x14ac:dyDescent="0.25">
      <c r="A16" s="28" t="s">
        <v>27</v>
      </c>
      <c r="B16" s="25">
        <v>43327.447916608799</v>
      </c>
      <c r="C16" s="10">
        <v>43330.90902777778</v>
      </c>
      <c r="D16" s="11">
        <v>10.029999999999999</v>
      </c>
      <c r="E16" s="8">
        <v>5.83</v>
      </c>
      <c r="F16" s="8">
        <f t="shared" si="5"/>
        <v>0.58474899999999996</v>
      </c>
      <c r="G16" s="9">
        <f t="shared" si="6"/>
        <v>2.3899999999999997</v>
      </c>
      <c r="H16" s="8">
        <f t="shared" si="7"/>
        <v>0.77613823311636942</v>
      </c>
      <c r="I16" s="12">
        <f t="shared" si="8"/>
        <v>83.066668055544142</v>
      </c>
      <c r="J16" s="13">
        <f t="shared" si="9"/>
        <v>1.6666666666666666E-2</v>
      </c>
      <c r="K16" s="9">
        <f t="shared" si="0"/>
        <v>0.60848956376630081</v>
      </c>
      <c r="L16" s="8">
        <f t="shared" si="10"/>
        <v>1.2208859421997088E-4</v>
      </c>
      <c r="M16" s="9">
        <f t="shared" si="1"/>
        <v>1.4858660285017835</v>
      </c>
      <c r="N16" s="8">
        <f t="shared" si="11"/>
        <v>0.48252621511478061</v>
      </c>
      <c r="O16" s="9">
        <f t="shared" si="2"/>
        <v>0.90413397149821617</v>
      </c>
      <c r="P16" s="8">
        <f t="shared" si="12"/>
        <v>0.29361222218193683</v>
      </c>
      <c r="Q16" s="9">
        <f t="shared" si="13"/>
        <v>2.3899999999999997</v>
      </c>
      <c r="R16" s="9">
        <v>0.79879999999999995</v>
      </c>
      <c r="S16" s="8">
        <v>1.4142135623730951E-4</v>
      </c>
      <c r="T16" s="9">
        <f t="shared" si="3"/>
        <v>1.8601227197067898</v>
      </c>
      <c r="U16" s="8">
        <f t="shared" si="14"/>
        <v>0.60406395445905803</v>
      </c>
      <c r="V16" s="9">
        <f>SUM($T$2:T16)</f>
        <v>802.16007394337157</v>
      </c>
      <c r="W16" s="8">
        <f>SQRT((U16^2)+(U15^2)+(U14^2)+(U13^2)+(U12^2)+(U11^2)+(U10^2)+(U9^2)+(U8^2)+(U7^2)+(U6^2)+(U5^2)+(U4^2)+(U3^2)+(U2^2))</f>
        <v>5.1757941709205015</v>
      </c>
      <c r="X16" s="9">
        <f t="shared" si="15"/>
        <v>2.4764433808363059E-2</v>
      </c>
      <c r="Y16" s="8">
        <f t="shared" si="16"/>
        <v>8.0421035852463428E-3</v>
      </c>
      <c r="Z16" s="8">
        <f t="shared" si="17"/>
        <v>6.4675430075832084E-5</v>
      </c>
      <c r="AA16" s="9">
        <f t="shared" si="4"/>
        <v>105.81666666670935</v>
      </c>
      <c r="AB16" s="14">
        <f t="shared" si="18"/>
        <v>0.99970931687856157</v>
      </c>
      <c r="AC16" s="9">
        <f t="shared" si="19"/>
        <v>2.4771634504403933E-2</v>
      </c>
    </row>
    <row r="17" spans="1:29" ht="15.75" thickBot="1" x14ac:dyDescent="0.3">
      <c r="A17" s="29" t="s">
        <v>9</v>
      </c>
      <c r="B17" s="25">
        <v>43327.447916608799</v>
      </c>
      <c r="C17" s="10">
        <v>43330.931944444441</v>
      </c>
      <c r="D17" s="11">
        <v>7.64</v>
      </c>
      <c r="E17" s="8">
        <v>6.68</v>
      </c>
      <c r="F17" s="8">
        <f t="shared" si="5"/>
        <v>0.51035199999999992</v>
      </c>
      <c r="G17" s="9">
        <f t="shared" si="6"/>
        <v>0</v>
      </c>
      <c r="H17" s="8">
        <f t="shared" si="7"/>
        <v>0.72174671998423368</v>
      </c>
      <c r="I17" s="12">
        <f t="shared" si="8"/>
        <v>83.616668055416085</v>
      </c>
      <c r="J17" s="13">
        <f t="shared" si="9"/>
        <v>1.6666666666666666E-2</v>
      </c>
      <c r="K17" s="9">
        <f t="shared" si="0"/>
        <v>0.61091291050620544</v>
      </c>
      <c r="L17" s="8">
        <f t="shared" si="10"/>
        <v>1.2176856694435795E-4</v>
      </c>
      <c r="M17" s="9">
        <f t="shared" si="1"/>
        <v>0</v>
      </c>
      <c r="N17" s="8" t="e">
        <f t="shared" si="11"/>
        <v>#DIV/0!</v>
      </c>
      <c r="O17" s="9">
        <f t="shared" si="2"/>
        <v>0</v>
      </c>
      <c r="P17" s="8" t="e">
        <f t="shared" si="12"/>
        <v>#DIV/0!</v>
      </c>
      <c r="Q17" s="9" t="e">
        <f>#REF!+#REF!</f>
        <v>#REF!</v>
      </c>
      <c r="R17" s="9"/>
      <c r="S17" s="8">
        <v>1.4142135623730951E-4</v>
      </c>
      <c r="T17" s="9"/>
      <c r="U17" s="8"/>
      <c r="V17" s="9"/>
      <c r="W17" s="8"/>
      <c r="X17" s="9">
        <f t="shared" si="15"/>
        <v>0</v>
      </c>
      <c r="Y17" s="8"/>
      <c r="Z17" s="8"/>
      <c r="AA17" s="9"/>
      <c r="AB17" s="9"/>
      <c r="AC17" s="9"/>
    </row>
    <row r="23" spans="1:29" x14ac:dyDescent="0.25">
      <c r="W23"/>
      <c r="Y23" s="30" t="s">
        <v>48</v>
      </c>
      <c r="AB23" s="3"/>
      <c r="AC23">
        <f>SUM(AC2:AC16)</f>
        <v>10.380011746075093</v>
      </c>
    </row>
    <row r="24" spans="1:29" x14ac:dyDescent="0.25">
      <c r="W24" t="s">
        <v>49</v>
      </c>
      <c r="X24" s="3">
        <f>SUM(X2:X16)</f>
        <v>10.377099534604824</v>
      </c>
      <c r="Y24" s="3">
        <f>SQRT(SUM(Z2:Z16))</f>
        <v>6.7510937735333856E-2</v>
      </c>
    </row>
    <row r="27" spans="1:29" x14ac:dyDescent="0.25">
      <c r="G27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CT25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2021-06-16T16:57:38Z</dcterms:modified>
</cp:coreProperties>
</file>